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<sst xmlns="http://schemas.openxmlformats.org/spreadsheetml/2006/main" count="74" uniqueCount="57">
  <si>
    <t>Actual</t>
  </si>
  <si>
    <t>Budget</t>
  </si>
  <si>
    <t>A/R</t>
  </si>
  <si>
    <t>Revenues</t>
  </si>
  <si>
    <t>EBITDA</t>
  </si>
  <si>
    <t>Debt Service</t>
  </si>
  <si>
    <t>Estimated Taxes</t>
  </si>
  <si>
    <t>Other</t>
  </si>
  <si>
    <t>Cash Balance</t>
  </si>
  <si>
    <t>Avg daily sales</t>
  </si>
  <si>
    <t>DSO</t>
  </si>
  <si>
    <t>Inv</t>
  </si>
  <si>
    <t>Avg COS</t>
  </si>
  <si>
    <t>Days Inv</t>
  </si>
  <si>
    <t>A/P</t>
  </si>
  <si>
    <t>Days Expenses</t>
  </si>
  <si>
    <t>Days A/P</t>
  </si>
  <si>
    <t>DSO Target</t>
  </si>
  <si>
    <t>Days A/P Target</t>
  </si>
  <si>
    <t>so gauges print</t>
  </si>
  <si>
    <t>row where data is pulled to</t>
  </si>
  <si>
    <t>Gross Profit</t>
  </si>
  <si>
    <t>GP %</t>
  </si>
  <si>
    <t>Bud GP%</t>
  </si>
  <si>
    <t>Min. Balance Target</t>
  </si>
  <si>
    <t>Inventory</t>
  </si>
  <si>
    <t>Capital Expend.</t>
  </si>
  <si>
    <t>Accounts Rec.</t>
  </si>
  <si>
    <t>Days Inv Target</t>
  </si>
  <si>
    <t>may need to add net cash flow here</t>
  </si>
  <si>
    <t>A/P and Accrued</t>
  </si>
  <si>
    <t>For bud in 2005 I used actual sales and</t>
  </si>
  <si>
    <t>multiplied that times the bud GP target</t>
  </si>
  <si>
    <t>to get GP then took actual EBITDA</t>
  </si>
  <si>
    <t>and adjusted for the GP difference since</t>
  </si>
  <si>
    <t>there was not a monthly budget</t>
  </si>
  <si>
    <t>Comm exp</t>
  </si>
  <si>
    <t>Comm %</t>
  </si>
  <si>
    <t>Comm % Target</t>
  </si>
  <si>
    <t>Actual/Proj.</t>
  </si>
  <si>
    <t>Probably should set the budget in here manually so that the projections in the model as they change are not the same as the budget</t>
  </si>
  <si>
    <t>Alexandria</t>
  </si>
  <si>
    <t>Houston</t>
  </si>
  <si>
    <t>San Diego</t>
  </si>
  <si>
    <t>Palm Springs</t>
  </si>
  <si>
    <t>Napa</t>
  </si>
  <si>
    <t>Boise</t>
  </si>
  <si>
    <t>Phoenix</t>
  </si>
  <si>
    <t>Dallas</t>
  </si>
  <si>
    <t>Fort Worth</t>
  </si>
  <si>
    <t>Atlanta</t>
  </si>
  <si>
    <t>Boston</t>
  </si>
  <si>
    <t>Chicago</t>
  </si>
  <si>
    <t>All stores</t>
  </si>
  <si>
    <t>Select a location to see results</t>
  </si>
  <si>
    <t>January 2006</t>
  </si>
  <si>
    <t>for one of the buttons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</si>
</sst>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0.0"/>
    <numFmt numFmtId="167" formatCode="0.000000"/>
    <numFmt numFmtId="168" formatCode="0.00000"/>
    <numFmt numFmtId="169" formatCode="0.0000"/>
    <numFmt numFmtId="170" formatCode="0.00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7" fontId="0" fillId="0" borderId="0" xfId="0" applyNumberFormat="1" applyAlignment="1">
      <alignment/>
    </xf>
    <xf numFmtId="4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21" applyNumberFormat="1" applyAlignment="1">
      <alignment/>
    </xf>
    <xf numFmtId="37" fontId="0" fillId="0" borderId="0" xfId="21" applyNumberFormat="1" applyAlignment="1">
      <alignment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41" fontId="0" fillId="0" borderId="0" xfId="0" applyNumberFormat="1" applyAlignment="1">
      <alignment/>
    </xf>
    <xf numFmtId="165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HotLink\Hotlink%20Financial%20Model%20V1.5%20New%20Sales%20O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Breakeven"/>
      <sheetName val="Disclaimer_Instructions"/>
      <sheetName val="Totals by Department"/>
      <sheetName val="Adjustments"/>
      <sheetName val="Graphs"/>
      <sheetName val="Summary IS"/>
      <sheetName val="Monthly-Quarterly"/>
      <sheetName val="Cash Flows"/>
      <sheetName val="IS by Category"/>
      <sheetName val="IS by Dept DO NOT USE"/>
      <sheetName val="Balance sheets"/>
      <sheetName val="Use of Capital"/>
      <sheetName val="POM CF"/>
      <sheetName val="Revenue"/>
      <sheetName val="Rev Stats"/>
      <sheetName val="Platform Sales Recap"/>
      <sheetName val="Trans Sales Recap"/>
      <sheetName val="Totals by Category"/>
      <sheetName val="COR - 1"/>
      <sheetName val="Platform Sales"/>
      <sheetName val="Trans Sales"/>
      <sheetName val="In Sales"/>
      <sheetName val="Sales Supp"/>
      <sheetName val="Opers"/>
      <sheetName val="Acct"/>
      <sheetName val="Mgmt"/>
      <sheetName val="Personnel"/>
      <sheetName val="Monthly Assumptions"/>
      <sheetName val="Investor IRR (ML)"/>
      <sheetName val="S&amp;U (ML)"/>
      <sheetName val="Proforma BS"/>
    </sheetNames>
    <sheetDataSet>
      <sheetData sheetId="13"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P47"/>
  <sheetViews>
    <sheetView tabSelected="1" workbookViewId="0" topLeftCell="AC1">
      <selection activeCell="AK3" sqref="AK3"/>
    </sheetView>
  </sheetViews>
  <sheetFormatPr defaultColWidth="9.140625" defaultRowHeight="12.75"/>
  <cols>
    <col min="1" max="1" width="25.140625" style="0" customWidth="1"/>
    <col min="2" max="2" width="10.57421875" style="0" customWidth="1"/>
    <col min="3" max="5" width="10.8515625" style="0" customWidth="1"/>
    <col min="6" max="6" width="13.140625" style="0" customWidth="1"/>
    <col min="7" max="7" width="15.140625" style="0" customWidth="1"/>
    <col min="8" max="8" width="13.7109375" style="0" customWidth="1"/>
    <col min="9" max="9" width="9.7109375" style="0" bestFit="1" customWidth="1"/>
    <col min="10" max="10" width="16.28125" style="0" customWidth="1"/>
    <col min="11" max="11" width="15.7109375" style="0" customWidth="1"/>
    <col min="13" max="13" width="12.7109375" style="0" customWidth="1"/>
    <col min="14" max="14" width="18.28125" style="0" customWidth="1"/>
    <col min="15" max="15" width="11.7109375" style="0" customWidth="1"/>
    <col min="16" max="16" width="13.421875" style="0" customWidth="1"/>
    <col min="17" max="17" width="12.140625" style="0" customWidth="1"/>
    <col min="18" max="18" width="11.421875" style="0" customWidth="1"/>
    <col min="22" max="22" width="13.8515625" style="0" customWidth="1"/>
    <col min="23" max="23" width="11.28125" style="0" customWidth="1"/>
    <col min="24" max="24" width="13.8515625" style="0" customWidth="1"/>
    <col min="26" max="26" width="15.28125" style="0" customWidth="1"/>
    <col min="29" max="29" width="10.57421875" style="0" customWidth="1"/>
    <col min="30" max="30" width="11.140625" style="0" customWidth="1"/>
    <col min="31" max="31" width="10.140625" style="0" customWidth="1"/>
    <col min="33" max="33" width="10.57421875" style="0" customWidth="1"/>
    <col min="34" max="34" width="11.421875" style="0" customWidth="1"/>
    <col min="35" max="35" width="11.57421875" style="0" customWidth="1"/>
    <col min="40" max="40" width="11.7109375" style="0" customWidth="1"/>
    <col min="42" max="42" width="16.140625" style="0" customWidth="1"/>
  </cols>
  <sheetData>
    <row r="3" spans="1:42" ht="12.75">
      <c r="A3" t="s">
        <v>20</v>
      </c>
      <c r="C3" s="4"/>
      <c r="D3" s="5"/>
      <c r="E3" s="1">
        <v>65000</v>
      </c>
      <c r="F3" s="1">
        <v>-18000</v>
      </c>
      <c r="G3" s="1">
        <v>-2500</v>
      </c>
      <c r="H3" s="1">
        <v>2000</v>
      </c>
      <c r="I3" s="2">
        <v>4000</v>
      </c>
      <c r="J3" s="1">
        <v>-1500</v>
      </c>
      <c r="K3" s="1">
        <v>-6500</v>
      </c>
      <c r="L3" s="1">
        <v>0</v>
      </c>
      <c r="M3" s="1">
        <v>45000</v>
      </c>
      <c r="N3" s="1">
        <v>25000</v>
      </c>
      <c r="O3" s="1">
        <v>23000</v>
      </c>
      <c r="P3" s="1">
        <v>1389</v>
      </c>
      <c r="Q3" s="1">
        <v>17</v>
      </c>
      <c r="R3" s="1">
        <v>15</v>
      </c>
      <c r="S3" s="1">
        <v>19000</v>
      </c>
      <c r="T3" s="1">
        <v>417</v>
      </c>
      <c r="U3" s="1">
        <v>46</v>
      </c>
      <c r="V3" s="1">
        <v>30</v>
      </c>
      <c r="W3" s="1">
        <v>12000</v>
      </c>
      <c r="X3" s="1">
        <v>1500</v>
      </c>
      <c r="Y3" s="1">
        <v>8</v>
      </c>
      <c r="Z3" s="1">
        <v>15</v>
      </c>
      <c r="AC3" s="1">
        <v>500000</v>
      </c>
      <c r="AD3" s="1">
        <v>350000</v>
      </c>
      <c r="AE3" s="1">
        <v>65000</v>
      </c>
      <c r="AG3" s="1">
        <v>525000</v>
      </c>
      <c r="AH3" s="1">
        <v>378000</v>
      </c>
      <c r="AI3" s="1">
        <v>93000</v>
      </c>
      <c r="AK3" s="4">
        <v>0.7</v>
      </c>
      <c r="AL3" s="4">
        <v>0.72</v>
      </c>
      <c r="AN3">
        <v>35000</v>
      </c>
      <c r="AO3" s="4">
        <v>0.07</v>
      </c>
      <c r="AP3" s="4">
        <v>0.06</v>
      </c>
    </row>
    <row r="4" spans="17:42" ht="12.75">
      <c r="Q4" s="1">
        <f>+Q3</f>
        <v>17</v>
      </c>
      <c r="R4" s="1">
        <f>+R3</f>
        <v>15</v>
      </c>
      <c r="S4" s="1"/>
      <c r="T4" s="1"/>
      <c r="U4" s="1">
        <f>+U3</f>
        <v>46</v>
      </c>
      <c r="V4" s="1">
        <f>+V3</f>
        <v>30</v>
      </c>
      <c r="W4" s="1"/>
      <c r="X4" s="1"/>
      <c r="Y4" s="1">
        <f>+Y3</f>
        <v>8</v>
      </c>
      <c r="Z4" s="1">
        <f>+Z3</f>
        <v>15</v>
      </c>
      <c r="AK4" s="4">
        <f>+AK3</f>
        <v>0.7</v>
      </c>
      <c r="AL4" s="4">
        <f>+AL3</f>
        <v>0.72</v>
      </c>
      <c r="AM4" s="4"/>
      <c r="AN4" s="4"/>
      <c r="AO4" s="4">
        <f>+AO3</f>
        <v>0.07</v>
      </c>
      <c r="AP4" s="4">
        <f>+AP3</f>
        <v>0.06</v>
      </c>
    </row>
    <row r="6" spans="1:2" ht="12.75">
      <c r="A6">
        <v>1</v>
      </c>
      <c r="B6" t="s">
        <v>19</v>
      </c>
    </row>
    <row r="7" ht="12.75">
      <c r="AG7" t="s">
        <v>31</v>
      </c>
    </row>
    <row r="8" ht="12.75">
      <c r="AG8" t="s">
        <v>32</v>
      </c>
    </row>
    <row r="9" spans="1:33" ht="12.75">
      <c r="A9" t="s">
        <v>54</v>
      </c>
      <c r="AG9" t="s">
        <v>33</v>
      </c>
    </row>
    <row r="10" ht="12.75">
      <c r="AG10" t="s">
        <v>34</v>
      </c>
    </row>
    <row r="11" spans="1:33" ht="12.75">
      <c r="A11" s="6" t="s">
        <v>55</v>
      </c>
      <c r="B11" t="s">
        <v>56</v>
      </c>
      <c r="AG11" t="s">
        <v>35</v>
      </c>
    </row>
    <row r="12" ht="12.75">
      <c r="M12" t="s">
        <v>29</v>
      </c>
    </row>
    <row r="13" ht="12.75">
      <c r="F13" t="s">
        <v>39</v>
      </c>
    </row>
    <row r="14" spans="29:33" ht="12.75">
      <c r="AC14" t="s">
        <v>39</v>
      </c>
      <c r="AG14" t="s">
        <v>1</v>
      </c>
    </row>
    <row r="15" spans="5:42" ht="12.75">
      <c r="E15" t="s">
        <v>4</v>
      </c>
      <c r="F15" t="s">
        <v>5</v>
      </c>
      <c r="G15" t="s">
        <v>26</v>
      </c>
      <c r="H15" t="s">
        <v>27</v>
      </c>
      <c r="I15" t="s">
        <v>25</v>
      </c>
      <c r="J15" t="s">
        <v>30</v>
      </c>
      <c r="K15" t="s">
        <v>6</v>
      </c>
      <c r="L15" t="s">
        <v>7</v>
      </c>
      <c r="M15" t="s">
        <v>8</v>
      </c>
      <c r="N15" t="s">
        <v>24</v>
      </c>
      <c r="O15" t="s">
        <v>2</v>
      </c>
      <c r="P15" t="s">
        <v>9</v>
      </c>
      <c r="Q15" t="s">
        <v>10</v>
      </c>
      <c r="R15" t="s">
        <v>17</v>
      </c>
      <c r="S15" t="s">
        <v>11</v>
      </c>
      <c r="T15" t="s">
        <v>12</v>
      </c>
      <c r="U15" t="s">
        <v>13</v>
      </c>
      <c r="V15" t="s">
        <v>28</v>
      </c>
      <c r="W15" t="s">
        <v>14</v>
      </c>
      <c r="X15" t="s">
        <v>15</v>
      </c>
      <c r="Y15" t="s">
        <v>16</v>
      </c>
      <c r="Z15" t="s">
        <v>18</v>
      </c>
      <c r="AC15" t="s">
        <v>3</v>
      </c>
      <c r="AD15" t="s">
        <v>21</v>
      </c>
      <c r="AE15" t="s">
        <v>4</v>
      </c>
      <c r="AG15" t="s">
        <v>3</v>
      </c>
      <c r="AH15" t="s">
        <v>21</v>
      </c>
      <c r="AI15" t="s">
        <v>4</v>
      </c>
      <c r="AK15" t="s">
        <v>22</v>
      </c>
      <c r="AL15" t="s">
        <v>23</v>
      </c>
      <c r="AN15" t="s">
        <v>36</v>
      </c>
      <c r="AO15" t="s">
        <v>37</v>
      </c>
      <c r="AP15" t="s">
        <v>38</v>
      </c>
    </row>
    <row r="16" spans="1:42" ht="12.75">
      <c r="A16" s="10" t="s">
        <v>41</v>
      </c>
      <c r="C16" t="s">
        <v>0</v>
      </c>
      <c r="D16" s="4"/>
      <c r="E16" s="1">
        <f>0.1*AC16</f>
        <v>50000</v>
      </c>
      <c r="F16" s="1">
        <v>-28000</v>
      </c>
      <c r="G16" s="1">
        <v>-6000</v>
      </c>
      <c r="H16" s="1">
        <v>-8000</v>
      </c>
      <c r="I16" s="2">
        <v>6000</v>
      </c>
      <c r="J16" s="1">
        <v>10000</v>
      </c>
      <c r="K16" s="1">
        <v>-12000</v>
      </c>
      <c r="L16" s="1">
        <f>SUM('[1]POM CF'!$M$70:$M$75)</f>
        <v>0</v>
      </c>
      <c r="M16" s="1">
        <v>45000</v>
      </c>
      <c r="N16" s="1">
        <v>25000</v>
      </c>
      <c r="O16" s="1">
        <v>22000</v>
      </c>
      <c r="P16" s="1">
        <f>+AC16/360</f>
        <v>1388.888888888889</v>
      </c>
      <c r="Q16" s="1">
        <f>+O16/P16</f>
        <v>15.84</v>
      </c>
      <c r="R16" s="1">
        <v>15</v>
      </c>
      <c r="S16" s="1">
        <v>19000</v>
      </c>
      <c r="T16" s="3">
        <f>(+AC16-AD16)/360</f>
        <v>416.6666666666667</v>
      </c>
      <c r="U16" s="1">
        <f>+S16/T16</f>
        <v>45.6</v>
      </c>
      <c r="V16" s="1">
        <v>30</v>
      </c>
      <c r="W16" s="1">
        <v>12000</v>
      </c>
      <c r="X16" s="3">
        <v>1500</v>
      </c>
      <c r="Y16" s="1">
        <f>+W16/X16</f>
        <v>8</v>
      </c>
      <c r="Z16" s="1">
        <v>15</v>
      </c>
      <c r="AC16" s="1">
        <v>500000</v>
      </c>
      <c r="AD16" s="1">
        <v>350000</v>
      </c>
      <c r="AE16" s="1">
        <f>+E16</f>
        <v>50000</v>
      </c>
      <c r="AG16" s="5">
        <v>550000</v>
      </c>
      <c r="AH16" s="5">
        <f>+AG16*AL16</f>
        <v>396000</v>
      </c>
      <c r="AI16" s="5">
        <f>+AE16+AH16-AD16</f>
        <v>96000</v>
      </c>
      <c r="AK16" s="4">
        <f>+AD16/AC16</f>
        <v>0.7</v>
      </c>
      <c r="AL16" s="4">
        <v>0.72</v>
      </c>
      <c r="AN16" s="8">
        <f>0.07*AC16</f>
        <v>35000</v>
      </c>
      <c r="AO16" s="4">
        <f>+AN16/AC16</f>
        <v>0.07</v>
      </c>
      <c r="AP16" s="4">
        <v>0.06</v>
      </c>
    </row>
    <row r="17" spans="1:42" ht="12.75">
      <c r="A17" s="10" t="s">
        <v>42</v>
      </c>
      <c r="C17" t="s">
        <v>0</v>
      </c>
      <c r="D17" s="4"/>
      <c r="E17" s="1">
        <f aca="true" t="shared" si="0" ref="E17:E27">0.1*AC17</f>
        <v>49500</v>
      </c>
      <c r="F17" s="1">
        <f>+F16-5000</f>
        <v>-33000</v>
      </c>
      <c r="G17" s="1">
        <f>+G16-2000</f>
        <v>-8000</v>
      </c>
      <c r="H17" s="1">
        <v>-5000</v>
      </c>
      <c r="I17" s="1">
        <v>8000</v>
      </c>
      <c r="J17" s="1">
        <v>-5000</v>
      </c>
      <c r="K17" s="1">
        <v>-13000</v>
      </c>
      <c r="L17" s="1">
        <v>0</v>
      </c>
      <c r="M17" s="1">
        <f>+M16-10000</f>
        <v>35000</v>
      </c>
      <c r="N17" s="1">
        <f>+N16</f>
        <v>25000</v>
      </c>
      <c r="O17" s="1">
        <f>+O16+2000</f>
        <v>24000</v>
      </c>
      <c r="P17" s="1">
        <f>+AC17/360</f>
        <v>1375</v>
      </c>
      <c r="Q17" s="1">
        <f>+O17/P17</f>
        <v>17.454545454545453</v>
      </c>
      <c r="R17" s="1">
        <f>+R16</f>
        <v>15</v>
      </c>
      <c r="S17" s="1">
        <f>+S16+4000</f>
        <v>23000</v>
      </c>
      <c r="T17" s="3">
        <f>(+AC17-AD17)/360</f>
        <v>453.75</v>
      </c>
      <c r="U17" s="1">
        <f>+S17/T17</f>
        <v>50.68870523415978</v>
      </c>
      <c r="V17" s="1">
        <f>+V16</f>
        <v>30</v>
      </c>
      <c r="W17" s="1">
        <v>23000</v>
      </c>
      <c r="X17" s="3">
        <f>+X16</f>
        <v>1500</v>
      </c>
      <c r="Y17" s="1">
        <f>+W17/X17</f>
        <v>15.333333333333334</v>
      </c>
      <c r="Z17" s="1">
        <f>+Z16</f>
        <v>15</v>
      </c>
      <c r="AC17" s="1">
        <f>+AC16-5000</f>
        <v>495000</v>
      </c>
      <c r="AD17" s="1">
        <f>0.67*AC17</f>
        <v>331650</v>
      </c>
      <c r="AE17" s="1">
        <f>+E17</f>
        <v>49500</v>
      </c>
      <c r="AG17" s="5">
        <f>+AC17-50000</f>
        <v>445000</v>
      </c>
      <c r="AH17" s="5">
        <f>+AG17*AL17</f>
        <v>320400</v>
      </c>
      <c r="AI17" s="5">
        <f>+AE17+AH17-AD17</f>
        <v>38250</v>
      </c>
      <c r="AK17" s="4">
        <f>+AD17/AC17</f>
        <v>0.67</v>
      </c>
      <c r="AL17" s="4">
        <f>+AL16</f>
        <v>0.72</v>
      </c>
      <c r="AN17" s="8">
        <f>0.05*AC17</f>
        <v>24750</v>
      </c>
      <c r="AO17" s="4">
        <f>+AN17/AC17</f>
        <v>0.05</v>
      </c>
      <c r="AP17" s="9">
        <f>+AP16</f>
        <v>0.06</v>
      </c>
    </row>
    <row r="18" spans="1:42" ht="12.75">
      <c r="A18" t="s">
        <v>43</v>
      </c>
      <c r="C18" t="s">
        <v>0</v>
      </c>
      <c r="D18" s="4"/>
      <c r="E18" s="1">
        <f t="shared" si="0"/>
        <v>52500</v>
      </c>
      <c r="F18" s="1">
        <f>+F17-3000</f>
        <v>-36000</v>
      </c>
      <c r="G18" s="1">
        <v>-10000</v>
      </c>
      <c r="H18" s="1">
        <v>5000</v>
      </c>
      <c r="I18" s="1">
        <v>-4000</v>
      </c>
      <c r="J18" s="1">
        <v>6000</v>
      </c>
      <c r="K18" s="1">
        <v>-15000</v>
      </c>
      <c r="L18" s="1">
        <v>0</v>
      </c>
      <c r="M18" s="1">
        <f aca="true" t="shared" si="1" ref="M18:M27">+M17-10000</f>
        <v>25000</v>
      </c>
      <c r="N18" s="1">
        <f aca="true" t="shared" si="2" ref="N18:N27">+N17</f>
        <v>25000</v>
      </c>
      <c r="O18" s="1">
        <v>18000</v>
      </c>
      <c r="P18" s="1">
        <f aca="true" t="shared" si="3" ref="P18:P27">+AC18/360</f>
        <v>1458.3333333333333</v>
      </c>
      <c r="Q18" s="1">
        <f aca="true" t="shared" si="4" ref="Q18:Q27">+O18/P18</f>
        <v>12.342857142857143</v>
      </c>
      <c r="R18" s="1">
        <f aca="true" t="shared" si="5" ref="R18:R27">+R17</f>
        <v>15</v>
      </c>
      <c r="S18" s="1">
        <v>21000</v>
      </c>
      <c r="T18" s="3">
        <f aca="true" t="shared" si="6" ref="T18:T27">(+AC18-AD18)/360</f>
        <v>422.9166666666667</v>
      </c>
      <c r="U18" s="1">
        <f aca="true" t="shared" si="7" ref="U18:U27">+S18/T18</f>
        <v>49.6551724137931</v>
      </c>
      <c r="V18" s="1">
        <f aca="true" t="shared" si="8" ref="V18:V27">+V17</f>
        <v>30</v>
      </c>
      <c r="W18" s="1">
        <f aca="true" t="shared" si="9" ref="W18:W27">+W17+4000</f>
        <v>27000</v>
      </c>
      <c r="X18" s="3">
        <f aca="true" t="shared" si="10" ref="X18:X27">+X17</f>
        <v>1500</v>
      </c>
      <c r="Y18" s="1">
        <f aca="true" t="shared" si="11" ref="Y18:Y27">+W18/X18</f>
        <v>18</v>
      </c>
      <c r="Z18" s="1">
        <f aca="true" t="shared" si="12" ref="Z18:Z27">+Z17</f>
        <v>15</v>
      </c>
      <c r="AC18" s="1">
        <v>525000</v>
      </c>
      <c r="AD18" s="1">
        <f>0.71*AC18</f>
        <v>372750</v>
      </c>
      <c r="AE18" s="1">
        <f aca="true" t="shared" si="13" ref="AE18:AE27">+E18</f>
        <v>52500</v>
      </c>
      <c r="AG18" s="5">
        <f>+AC18+50000</f>
        <v>575000</v>
      </c>
      <c r="AH18" s="5">
        <f aca="true" t="shared" si="14" ref="AH18:AH27">+AG18*AL18</f>
        <v>414000</v>
      </c>
      <c r="AI18" s="5">
        <f aca="true" t="shared" si="15" ref="AI18:AI27">+AE18+AH18-AD18</f>
        <v>93750</v>
      </c>
      <c r="AK18" s="4">
        <f aca="true" t="shared" si="16" ref="AK18:AK27">+AD18/AC18</f>
        <v>0.71</v>
      </c>
      <c r="AL18" s="4">
        <f aca="true" t="shared" si="17" ref="AL18:AL27">+AL17</f>
        <v>0.72</v>
      </c>
      <c r="AN18" s="8">
        <f>0.062*AC18</f>
        <v>32550</v>
      </c>
      <c r="AO18" s="4">
        <f aca="true" t="shared" si="18" ref="AO18:AO27">+AN18/AC18</f>
        <v>0.062</v>
      </c>
      <c r="AP18" s="9">
        <f aca="true" t="shared" si="19" ref="AP18:AP27">+AP17</f>
        <v>0.06</v>
      </c>
    </row>
    <row r="19" spans="1:42" ht="12.75">
      <c r="A19" t="s">
        <v>44</v>
      </c>
      <c r="C19" t="s">
        <v>0</v>
      </c>
      <c r="D19" s="4"/>
      <c r="E19" s="1">
        <f t="shared" si="0"/>
        <v>52000</v>
      </c>
      <c r="F19" s="1">
        <v>-30000</v>
      </c>
      <c r="G19" s="1">
        <v>-8000</v>
      </c>
      <c r="H19" s="1">
        <v>-30000</v>
      </c>
      <c r="I19" s="1">
        <v>8000</v>
      </c>
      <c r="J19" s="1">
        <v>6000</v>
      </c>
      <c r="K19" s="1">
        <v>-13000</v>
      </c>
      <c r="L19" s="1">
        <v>0</v>
      </c>
      <c r="M19" s="1">
        <v>28000</v>
      </c>
      <c r="N19" s="1">
        <f t="shared" si="2"/>
        <v>25000</v>
      </c>
      <c r="O19" s="1">
        <f aca="true" t="shared" si="20" ref="O19:O27">+O18+2000</f>
        <v>20000</v>
      </c>
      <c r="P19" s="1">
        <f t="shared" si="3"/>
        <v>1444.4444444444443</v>
      </c>
      <c r="Q19" s="1">
        <f t="shared" si="4"/>
        <v>13.846153846153847</v>
      </c>
      <c r="R19" s="1">
        <f t="shared" si="5"/>
        <v>15</v>
      </c>
      <c r="S19" s="1">
        <v>17000</v>
      </c>
      <c r="T19" s="3">
        <f t="shared" si="6"/>
        <v>462.22222222222223</v>
      </c>
      <c r="U19" s="1">
        <f t="shared" si="7"/>
        <v>36.77884615384615</v>
      </c>
      <c r="V19" s="1">
        <f t="shared" si="8"/>
        <v>30</v>
      </c>
      <c r="W19" s="1">
        <f t="shared" si="9"/>
        <v>31000</v>
      </c>
      <c r="X19" s="3">
        <f t="shared" si="10"/>
        <v>1500</v>
      </c>
      <c r="Y19" s="1">
        <f t="shared" si="11"/>
        <v>20.666666666666668</v>
      </c>
      <c r="Z19" s="1">
        <f t="shared" si="12"/>
        <v>15</v>
      </c>
      <c r="AC19" s="1">
        <f>+AC18-5000</f>
        <v>520000</v>
      </c>
      <c r="AD19" s="1">
        <f>0.68*AC19</f>
        <v>353600</v>
      </c>
      <c r="AE19" s="1">
        <f t="shared" si="13"/>
        <v>52000</v>
      </c>
      <c r="AG19" s="5">
        <f>+AC19+60000</f>
        <v>580000</v>
      </c>
      <c r="AH19" s="5">
        <f t="shared" si="14"/>
        <v>417600</v>
      </c>
      <c r="AI19" s="5">
        <f t="shared" si="15"/>
        <v>116000</v>
      </c>
      <c r="AK19" s="4">
        <f t="shared" si="16"/>
        <v>0.68</v>
      </c>
      <c r="AL19" s="4">
        <f t="shared" si="17"/>
        <v>0.72</v>
      </c>
      <c r="AN19" s="8">
        <f>0.055*AC19</f>
        <v>28600</v>
      </c>
      <c r="AO19" s="4">
        <f t="shared" si="18"/>
        <v>0.055</v>
      </c>
      <c r="AP19" s="9">
        <f t="shared" si="19"/>
        <v>0.06</v>
      </c>
    </row>
    <row r="20" spans="1:42" ht="12.75">
      <c r="A20" s="10" t="s">
        <v>45</v>
      </c>
      <c r="C20" t="s">
        <v>0</v>
      </c>
      <c r="D20" s="4"/>
      <c r="E20" s="1">
        <f t="shared" si="0"/>
        <v>60000</v>
      </c>
      <c r="F20" s="1">
        <f>+F19-5000</f>
        <v>-35000</v>
      </c>
      <c r="G20" s="1">
        <f aca="true" t="shared" si="21" ref="G20:G27">+G19</f>
        <v>-8000</v>
      </c>
      <c r="H20" s="1">
        <v>-5000</v>
      </c>
      <c r="I20" s="1">
        <v>-6000</v>
      </c>
      <c r="J20" s="1">
        <v>0</v>
      </c>
      <c r="K20" s="1">
        <v>-5000</v>
      </c>
      <c r="L20" s="1">
        <v>0</v>
      </c>
      <c r="M20" s="1">
        <f t="shared" si="1"/>
        <v>18000</v>
      </c>
      <c r="N20" s="1">
        <f t="shared" si="2"/>
        <v>25000</v>
      </c>
      <c r="O20" s="1">
        <v>35000</v>
      </c>
      <c r="P20" s="1">
        <f t="shared" si="3"/>
        <v>1666.6666666666667</v>
      </c>
      <c r="Q20" s="1">
        <f t="shared" si="4"/>
        <v>21</v>
      </c>
      <c r="R20" s="1">
        <f t="shared" si="5"/>
        <v>15</v>
      </c>
      <c r="S20" s="1">
        <v>15000</v>
      </c>
      <c r="T20" s="3">
        <f t="shared" si="6"/>
        <v>666.6666666666666</v>
      </c>
      <c r="U20" s="1">
        <f t="shared" si="7"/>
        <v>22.5</v>
      </c>
      <c r="V20" s="1">
        <f t="shared" si="8"/>
        <v>30</v>
      </c>
      <c r="W20" s="1">
        <v>18000</v>
      </c>
      <c r="X20" s="3">
        <f t="shared" si="10"/>
        <v>1500</v>
      </c>
      <c r="Y20" s="1">
        <f t="shared" si="11"/>
        <v>12</v>
      </c>
      <c r="Z20" s="1">
        <f t="shared" si="12"/>
        <v>15</v>
      </c>
      <c r="AC20" s="1">
        <v>600000</v>
      </c>
      <c r="AD20" s="1">
        <f>0.6*AC20</f>
        <v>360000</v>
      </c>
      <c r="AE20" s="1">
        <f t="shared" si="13"/>
        <v>60000</v>
      </c>
      <c r="AG20" s="5">
        <f>+AC20-50000</f>
        <v>550000</v>
      </c>
      <c r="AH20" s="5">
        <f t="shared" si="14"/>
        <v>396000</v>
      </c>
      <c r="AI20" s="5">
        <f t="shared" si="15"/>
        <v>96000</v>
      </c>
      <c r="AK20" s="4">
        <f t="shared" si="16"/>
        <v>0.6</v>
      </c>
      <c r="AL20" s="4">
        <f t="shared" si="17"/>
        <v>0.72</v>
      </c>
      <c r="AN20" s="8">
        <f>0.072*AC20</f>
        <v>43200</v>
      </c>
      <c r="AO20" s="4">
        <f t="shared" si="18"/>
        <v>0.072</v>
      </c>
      <c r="AP20" s="9">
        <f t="shared" si="19"/>
        <v>0.06</v>
      </c>
    </row>
    <row r="21" spans="1:42" ht="12.75">
      <c r="A21" t="s">
        <v>46</v>
      </c>
      <c r="C21" t="s">
        <v>0</v>
      </c>
      <c r="D21" s="4"/>
      <c r="E21" s="1">
        <f t="shared" si="0"/>
        <v>40000</v>
      </c>
      <c r="F21" s="1">
        <v>-30000</v>
      </c>
      <c r="G21" s="1">
        <f t="shared" si="21"/>
        <v>-8000</v>
      </c>
      <c r="H21" s="1">
        <v>-5000</v>
      </c>
      <c r="I21" s="1">
        <v>5000</v>
      </c>
      <c r="J21" s="1">
        <v>8000</v>
      </c>
      <c r="K21" s="1">
        <v>-13000</v>
      </c>
      <c r="L21" s="1">
        <v>0</v>
      </c>
      <c r="M21" s="1">
        <f t="shared" si="1"/>
        <v>8000</v>
      </c>
      <c r="N21" s="1">
        <f t="shared" si="2"/>
        <v>25000</v>
      </c>
      <c r="O21" s="1">
        <f t="shared" si="20"/>
        <v>37000</v>
      </c>
      <c r="P21" s="1">
        <f t="shared" si="3"/>
        <v>1111.111111111111</v>
      </c>
      <c r="Q21" s="1">
        <f t="shared" si="4"/>
        <v>33.300000000000004</v>
      </c>
      <c r="R21" s="1">
        <f t="shared" si="5"/>
        <v>15</v>
      </c>
      <c r="S21" s="1">
        <f>+S20+4000</f>
        <v>19000</v>
      </c>
      <c r="T21" s="3">
        <f t="shared" si="6"/>
        <v>277.77777777777777</v>
      </c>
      <c r="U21" s="1">
        <f t="shared" si="7"/>
        <v>68.4</v>
      </c>
      <c r="V21" s="1">
        <f t="shared" si="8"/>
        <v>30</v>
      </c>
      <c r="W21" s="1">
        <v>13000</v>
      </c>
      <c r="X21" s="3">
        <f t="shared" si="10"/>
        <v>1500</v>
      </c>
      <c r="Y21" s="1">
        <f t="shared" si="11"/>
        <v>8.666666666666666</v>
      </c>
      <c r="Z21" s="1">
        <f t="shared" si="12"/>
        <v>15</v>
      </c>
      <c r="AC21" s="1">
        <v>400000</v>
      </c>
      <c r="AD21" s="1">
        <f>0.75*AC21</f>
        <v>300000</v>
      </c>
      <c r="AE21" s="1">
        <f t="shared" si="13"/>
        <v>40000</v>
      </c>
      <c r="AG21" s="5">
        <f>+AC21+40000</f>
        <v>440000</v>
      </c>
      <c r="AH21" s="5">
        <f t="shared" si="14"/>
        <v>316800</v>
      </c>
      <c r="AI21" s="5">
        <f t="shared" si="15"/>
        <v>56800</v>
      </c>
      <c r="AK21" s="4">
        <f t="shared" si="16"/>
        <v>0.75</v>
      </c>
      <c r="AL21" s="4">
        <f t="shared" si="17"/>
        <v>0.72</v>
      </c>
      <c r="AN21" s="8">
        <f>0.05*AC21</f>
        <v>20000</v>
      </c>
      <c r="AO21" s="4">
        <f t="shared" si="18"/>
        <v>0.05</v>
      </c>
      <c r="AP21" s="9">
        <f t="shared" si="19"/>
        <v>0.06</v>
      </c>
    </row>
    <row r="22" spans="1:42" ht="12.75">
      <c r="A22" t="s">
        <v>47</v>
      </c>
      <c r="C22" t="s">
        <v>0</v>
      </c>
      <c r="D22" s="4"/>
      <c r="E22" s="1">
        <f t="shared" si="0"/>
        <v>44500</v>
      </c>
      <c r="F22" s="1">
        <v>-25000</v>
      </c>
      <c r="G22" s="1">
        <f t="shared" si="21"/>
        <v>-8000</v>
      </c>
      <c r="H22" s="1">
        <v>0</v>
      </c>
      <c r="I22" s="1">
        <v>8000</v>
      </c>
      <c r="J22" s="1">
        <v>-5000</v>
      </c>
      <c r="K22" s="1">
        <v>0</v>
      </c>
      <c r="L22" s="1">
        <v>0</v>
      </c>
      <c r="M22" s="1">
        <v>23000</v>
      </c>
      <c r="N22" s="1">
        <f t="shared" si="2"/>
        <v>25000</v>
      </c>
      <c r="O22" s="1">
        <v>23000</v>
      </c>
      <c r="P22" s="1">
        <f t="shared" si="3"/>
        <v>1236.111111111111</v>
      </c>
      <c r="Q22" s="1">
        <f t="shared" si="4"/>
        <v>18.60674157303371</v>
      </c>
      <c r="R22" s="1">
        <f t="shared" si="5"/>
        <v>15</v>
      </c>
      <c r="S22" s="1">
        <f>+S21+4000</f>
        <v>23000</v>
      </c>
      <c r="T22" s="3">
        <f t="shared" si="6"/>
        <v>383.19444444444446</v>
      </c>
      <c r="U22" s="1">
        <f t="shared" si="7"/>
        <v>60.021747009786154</v>
      </c>
      <c r="V22" s="1">
        <f t="shared" si="8"/>
        <v>30</v>
      </c>
      <c r="W22" s="1">
        <f t="shared" si="9"/>
        <v>17000</v>
      </c>
      <c r="X22" s="3">
        <f t="shared" si="10"/>
        <v>1500</v>
      </c>
      <c r="Y22" s="1">
        <f t="shared" si="11"/>
        <v>11.333333333333334</v>
      </c>
      <c r="Z22" s="1">
        <f t="shared" si="12"/>
        <v>15</v>
      </c>
      <c r="AC22" s="1">
        <v>445000</v>
      </c>
      <c r="AD22" s="1">
        <f>0.69*AC22</f>
        <v>307050</v>
      </c>
      <c r="AE22" s="1">
        <f t="shared" si="13"/>
        <v>44500</v>
      </c>
      <c r="AG22" s="5">
        <f>+AC22+35000</f>
        <v>480000</v>
      </c>
      <c r="AH22" s="5">
        <f t="shared" si="14"/>
        <v>345600</v>
      </c>
      <c r="AI22" s="5">
        <f t="shared" si="15"/>
        <v>83050</v>
      </c>
      <c r="AK22" s="4">
        <f t="shared" si="16"/>
        <v>0.69</v>
      </c>
      <c r="AL22" s="4">
        <f t="shared" si="17"/>
        <v>0.72</v>
      </c>
      <c r="AN22" s="8">
        <f>0.06*AC22</f>
        <v>26700</v>
      </c>
      <c r="AO22" s="4">
        <f t="shared" si="18"/>
        <v>0.06</v>
      </c>
      <c r="AP22" s="9">
        <f t="shared" si="19"/>
        <v>0.06</v>
      </c>
    </row>
    <row r="23" spans="1:42" ht="12.75">
      <c r="A23" s="10" t="s">
        <v>48</v>
      </c>
      <c r="C23" t="s">
        <v>0</v>
      </c>
      <c r="D23" s="4"/>
      <c r="E23" s="1">
        <f t="shared" si="0"/>
        <v>32500</v>
      </c>
      <c r="F23" s="1">
        <v>-5000</v>
      </c>
      <c r="G23" s="1">
        <f t="shared" si="21"/>
        <v>-8000</v>
      </c>
      <c r="H23" s="1">
        <v>-5000</v>
      </c>
      <c r="I23" s="1">
        <v>8000</v>
      </c>
      <c r="J23" s="1">
        <v>9000</v>
      </c>
      <c r="K23" s="1">
        <v>-13000</v>
      </c>
      <c r="L23" s="1">
        <v>0</v>
      </c>
      <c r="M23" s="1">
        <f t="shared" si="1"/>
        <v>13000</v>
      </c>
      <c r="N23" s="1">
        <f t="shared" si="2"/>
        <v>25000</v>
      </c>
      <c r="O23" s="1">
        <f t="shared" si="20"/>
        <v>25000</v>
      </c>
      <c r="P23" s="1">
        <f t="shared" si="3"/>
        <v>902.7777777777778</v>
      </c>
      <c r="Q23" s="1">
        <f t="shared" si="4"/>
        <v>27.69230769230769</v>
      </c>
      <c r="R23" s="1">
        <f t="shared" si="5"/>
        <v>15</v>
      </c>
      <c r="S23" s="1">
        <v>13000</v>
      </c>
      <c r="T23" s="3">
        <f t="shared" si="6"/>
        <v>207.63888888888889</v>
      </c>
      <c r="U23" s="1">
        <f t="shared" si="7"/>
        <v>62.608695652173914</v>
      </c>
      <c r="V23" s="1">
        <f t="shared" si="8"/>
        <v>30</v>
      </c>
      <c r="W23" s="1">
        <f t="shared" si="9"/>
        <v>21000</v>
      </c>
      <c r="X23" s="3">
        <f t="shared" si="10"/>
        <v>1500</v>
      </c>
      <c r="Y23" s="1">
        <f t="shared" si="11"/>
        <v>14</v>
      </c>
      <c r="Z23" s="1">
        <f t="shared" si="12"/>
        <v>15</v>
      </c>
      <c r="AC23" s="1">
        <v>325000</v>
      </c>
      <c r="AD23" s="1">
        <f>0.77*AC23</f>
        <v>250250</v>
      </c>
      <c r="AE23" s="1">
        <f t="shared" si="13"/>
        <v>32500</v>
      </c>
      <c r="AG23" s="5">
        <f>+AC23+50000</f>
        <v>375000</v>
      </c>
      <c r="AH23" s="5">
        <f t="shared" si="14"/>
        <v>270000</v>
      </c>
      <c r="AI23" s="5">
        <f t="shared" si="15"/>
        <v>52250</v>
      </c>
      <c r="AK23" s="4">
        <f t="shared" si="16"/>
        <v>0.77</v>
      </c>
      <c r="AL23" s="4">
        <f t="shared" si="17"/>
        <v>0.72</v>
      </c>
      <c r="AN23" s="8">
        <f>0.071*AC23</f>
        <v>23074.999999999996</v>
      </c>
      <c r="AO23" s="4">
        <f t="shared" si="18"/>
        <v>0.071</v>
      </c>
      <c r="AP23" s="9">
        <f t="shared" si="19"/>
        <v>0.06</v>
      </c>
    </row>
    <row r="24" spans="1:42" ht="12.75">
      <c r="A24" t="s">
        <v>49</v>
      </c>
      <c r="C24" t="s">
        <v>0</v>
      </c>
      <c r="D24" s="4"/>
      <c r="E24" s="1">
        <f t="shared" si="0"/>
        <v>75000</v>
      </c>
      <c r="F24" s="1">
        <v>-20000</v>
      </c>
      <c r="G24" s="1">
        <f t="shared" si="21"/>
        <v>-8000</v>
      </c>
      <c r="H24" s="1">
        <v>8000</v>
      </c>
      <c r="I24" s="1">
        <v>0</v>
      </c>
      <c r="J24" s="1">
        <v>-7000</v>
      </c>
      <c r="K24" s="1">
        <v>-13000</v>
      </c>
      <c r="L24" s="1">
        <v>0</v>
      </c>
      <c r="M24" s="1">
        <v>18000</v>
      </c>
      <c r="N24" s="1">
        <f t="shared" si="2"/>
        <v>25000</v>
      </c>
      <c r="O24" s="1">
        <f t="shared" si="20"/>
        <v>27000</v>
      </c>
      <c r="P24" s="1">
        <f t="shared" si="3"/>
        <v>2083.3333333333335</v>
      </c>
      <c r="Q24" s="1">
        <f t="shared" si="4"/>
        <v>12.959999999999999</v>
      </c>
      <c r="R24" s="1">
        <f t="shared" si="5"/>
        <v>15</v>
      </c>
      <c r="S24" s="1">
        <f>+S23+4000</f>
        <v>17000</v>
      </c>
      <c r="T24" s="3">
        <f t="shared" si="6"/>
        <v>604.1666666666666</v>
      </c>
      <c r="U24" s="1">
        <f t="shared" si="7"/>
        <v>28.13793103448276</v>
      </c>
      <c r="V24" s="1">
        <f t="shared" si="8"/>
        <v>30</v>
      </c>
      <c r="W24" s="1">
        <v>18000</v>
      </c>
      <c r="X24" s="3">
        <f t="shared" si="10"/>
        <v>1500</v>
      </c>
      <c r="Y24" s="1">
        <f t="shared" si="11"/>
        <v>12</v>
      </c>
      <c r="Z24" s="1">
        <f t="shared" si="12"/>
        <v>15</v>
      </c>
      <c r="AC24" s="1">
        <v>750000</v>
      </c>
      <c r="AD24" s="1">
        <f>0.71*AC24</f>
        <v>532500</v>
      </c>
      <c r="AE24" s="1">
        <f t="shared" si="13"/>
        <v>75000</v>
      </c>
      <c r="AG24" s="5">
        <f>+AC24-50000</f>
        <v>700000</v>
      </c>
      <c r="AH24" s="5">
        <f t="shared" si="14"/>
        <v>504000</v>
      </c>
      <c r="AI24" s="5">
        <f t="shared" si="15"/>
        <v>46500</v>
      </c>
      <c r="AK24" s="4">
        <f t="shared" si="16"/>
        <v>0.71</v>
      </c>
      <c r="AL24" s="4">
        <f t="shared" si="17"/>
        <v>0.72</v>
      </c>
      <c r="AN24" s="8">
        <f>0.058*AC24</f>
        <v>43500</v>
      </c>
      <c r="AO24" s="4">
        <f t="shared" si="18"/>
        <v>0.058</v>
      </c>
      <c r="AP24" s="9">
        <f t="shared" si="19"/>
        <v>0.06</v>
      </c>
    </row>
    <row r="25" spans="1:42" ht="12.75">
      <c r="A25" t="s">
        <v>50</v>
      </c>
      <c r="C25" t="s">
        <v>0</v>
      </c>
      <c r="D25" s="4"/>
      <c r="E25" s="1">
        <f t="shared" si="0"/>
        <v>60000</v>
      </c>
      <c r="F25" s="1">
        <f>+F24-5000</f>
        <v>-25000</v>
      </c>
      <c r="G25" s="1">
        <f t="shared" si="21"/>
        <v>-8000</v>
      </c>
      <c r="H25" s="1">
        <v>-5000</v>
      </c>
      <c r="I25" s="1">
        <v>3000</v>
      </c>
      <c r="J25" s="1">
        <v>6000</v>
      </c>
      <c r="K25" s="1">
        <v>-13000</v>
      </c>
      <c r="L25" s="1">
        <v>0</v>
      </c>
      <c r="M25" s="1">
        <v>10000</v>
      </c>
      <c r="N25" s="1">
        <f t="shared" si="2"/>
        <v>25000</v>
      </c>
      <c r="O25" s="1">
        <v>22000</v>
      </c>
      <c r="P25" s="1">
        <f t="shared" si="3"/>
        <v>1666.6666666666667</v>
      </c>
      <c r="Q25" s="1">
        <f t="shared" si="4"/>
        <v>13.2</v>
      </c>
      <c r="R25" s="1">
        <f t="shared" si="5"/>
        <v>15</v>
      </c>
      <c r="S25" s="1">
        <v>14000</v>
      </c>
      <c r="T25" s="3">
        <f t="shared" si="6"/>
        <v>433.3333333333333</v>
      </c>
      <c r="U25" s="1">
        <f t="shared" si="7"/>
        <v>32.30769230769231</v>
      </c>
      <c r="V25" s="1">
        <f t="shared" si="8"/>
        <v>30</v>
      </c>
      <c r="W25" s="1">
        <f t="shared" si="9"/>
        <v>22000</v>
      </c>
      <c r="X25" s="3">
        <f t="shared" si="10"/>
        <v>1500</v>
      </c>
      <c r="Y25" s="1">
        <f t="shared" si="11"/>
        <v>14.666666666666666</v>
      </c>
      <c r="Z25" s="1">
        <f t="shared" si="12"/>
        <v>15</v>
      </c>
      <c r="AC25" s="1">
        <v>600000</v>
      </c>
      <c r="AD25" s="1">
        <f>0.74*AC25</f>
        <v>444000</v>
      </c>
      <c r="AE25" s="1">
        <f t="shared" si="13"/>
        <v>60000</v>
      </c>
      <c r="AG25" s="5">
        <f>+AC25-70000</f>
        <v>530000</v>
      </c>
      <c r="AH25" s="5">
        <f t="shared" si="14"/>
        <v>381600</v>
      </c>
      <c r="AI25" s="5">
        <f t="shared" si="15"/>
        <v>-2400</v>
      </c>
      <c r="AK25" s="4">
        <f t="shared" si="16"/>
        <v>0.74</v>
      </c>
      <c r="AL25" s="4">
        <f t="shared" si="17"/>
        <v>0.72</v>
      </c>
      <c r="AN25" s="8">
        <f>0.066*AC25</f>
        <v>39600</v>
      </c>
      <c r="AO25" s="4">
        <f t="shared" si="18"/>
        <v>0.066</v>
      </c>
      <c r="AP25" s="9">
        <f t="shared" si="19"/>
        <v>0.06</v>
      </c>
    </row>
    <row r="26" spans="1:42" ht="12.75">
      <c r="A26" t="s">
        <v>51</v>
      </c>
      <c r="C26" t="s">
        <v>0</v>
      </c>
      <c r="D26" s="4"/>
      <c r="E26" s="1">
        <f t="shared" si="0"/>
        <v>50000</v>
      </c>
      <c r="F26" s="1">
        <f>+F25-5000</f>
        <v>-30000</v>
      </c>
      <c r="G26" s="1">
        <f t="shared" si="21"/>
        <v>-8000</v>
      </c>
      <c r="H26" s="1">
        <v>15000</v>
      </c>
      <c r="I26" s="1">
        <v>-4000</v>
      </c>
      <c r="J26" s="1">
        <v>6000</v>
      </c>
      <c r="K26" s="1">
        <v>0</v>
      </c>
      <c r="L26" s="1">
        <v>0</v>
      </c>
      <c r="M26" s="1">
        <v>45000</v>
      </c>
      <c r="N26" s="1">
        <f t="shared" si="2"/>
        <v>25000</v>
      </c>
      <c r="O26" s="1">
        <v>22000</v>
      </c>
      <c r="P26" s="1">
        <f t="shared" si="3"/>
        <v>1388.888888888889</v>
      </c>
      <c r="Q26" s="1">
        <f t="shared" si="4"/>
        <v>15.84</v>
      </c>
      <c r="R26" s="1">
        <f t="shared" si="5"/>
        <v>15</v>
      </c>
      <c r="S26" s="1">
        <f>+S25+4000</f>
        <v>18000</v>
      </c>
      <c r="T26" s="3">
        <f t="shared" si="6"/>
        <v>416.6666666666667</v>
      </c>
      <c r="U26" s="1">
        <f t="shared" si="7"/>
        <v>43.199999999999996</v>
      </c>
      <c r="V26" s="1">
        <f t="shared" si="8"/>
        <v>30</v>
      </c>
      <c r="W26" s="1">
        <f t="shared" si="9"/>
        <v>26000</v>
      </c>
      <c r="X26" s="3">
        <f t="shared" si="10"/>
        <v>1500</v>
      </c>
      <c r="Y26" s="1">
        <f t="shared" si="11"/>
        <v>17.333333333333332</v>
      </c>
      <c r="Z26" s="1">
        <f t="shared" si="12"/>
        <v>15</v>
      </c>
      <c r="AC26" s="1">
        <v>500000</v>
      </c>
      <c r="AD26" s="1">
        <f>0.7*AC26</f>
        <v>350000</v>
      </c>
      <c r="AE26" s="1">
        <f t="shared" si="13"/>
        <v>50000</v>
      </c>
      <c r="AG26" s="5">
        <f>+AC26+65000</f>
        <v>565000</v>
      </c>
      <c r="AH26" s="5">
        <f t="shared" si="14"/>
        <v>406800</v>
      </c>
      <c r="AI26" s="5">
        <f t="shared" si="15"/>
        <v>106800</v>
      </c>
      <c r="AK26" s="4">
        <f t="shared" si="16"/>
        <v>0.7</v>
      </c>
      <c r="AL26" s="4">
        <f t="shared" si="17"/>
        <v>0.72</v>
      </c>
      <c r="AN26" s="8">
        <f>0.059*AC26</f>
        <v>29500</v>
      </c>
      <c r="AO26" s="4">
        <f t="shared" si="18"/>
        <v>0.059</v>
      </c>
      <c r="AP26" s="9">
        <f t="shared" si="19"/>
        <v>0.06</v>
      </c>
    </row>
    <row r="27" spans="1:42" ht="12.75">
      <c r="A27" t="s">
        <v>52</v>
      </c>
      <c r="C27" t="s">
        <v>0</v>
      </c>
      <c r="D27" s="4"/>
      <c r="E27" s="1">
        <f t="shared" si="0"/>
        <v>52500</v>
      </c>
      <c r="F27" s="1">
        <v>-23000</v>
      </c>
      <c r="G27" s="1">
        <f t="shared" si="21"/>
        <v>-8000</v>
      </c>
      <c r="H27" s="1">
        <v>-5000</v>
      </c>
      <c r="I27" s="1">
        <v>-10000</v>
      </c>
      <c r="J27" s="1">
        <v>6000</v>
      </c>
      <c r="K27" s="1">
        <v>-13000</v>
      </c>
      <c r="L27" s="1">
        <v>0</v>
      </c>
      <c r="M27" s="1">
        <f t="shared" si="1"/>
        <v>35000</v>
      </c>
      <c r="N27" s="1">
        <f t="shared" si="2"/>
        <v>25000</v>
      </c>
      <c r="O27" s="1">
        <f t="shared" si="20"/>
        <v>24000</v>
      </c>
      <c r="P27" s="1">
        <f t="shared" si="3"/>
        <v>1458.3333333333333</v>
      </c>
      <c r="Q27" s="1">
        <f t="shared" si="4"/>
        <v>16.45714285714286</v>
      </c>
      <c r="R27" s="1">
        <f t="shared" si="5"/>
        <v>15</v>
      </c>
      <c r="S27" s="1">
        <v>25000</v>
      </c>
      <c r="T27" s="3">
        <f t="shared" si="6"/>
        <v>510.4166666666667</v>
      </c>
      <c r="U27" s="1">
        <f t="shared" si="7"/>
        <v>48.97959183673469</v>
      </c>
      <c r="V27" s="1">
        <f t="shared" si="8"/>
        <v>30</v>
      </c>
      <c r="W27" s="1">
        <f t="shared" si="9"/>
        <v>30000</v>
      </c>
      <c r="X27" s="3">
        <f t="shared" si="10"/>
        <v>1500</v>
      </c>
      <c r="Y27" s="1">
        <f t="shared" si="11"/>
        <v>20</v>
      </c>
      <c r="Z27" s="1">
        <f t="shared" si="12"/>
        <v>15</v>
      </c>
      <c r="AC27" s="1">
        <v>525000</v>
      </c>
      <c r="AD27" s="1">
        <f>0.65*AC27</f>
        <v>341250</v>
      </c>
      <c r="AE27" s="1">
        <f t="shared" si="13"/>
        <v>52500</v>
      </c>
      <c r="AG27" s="5">
        <f>+AC27-65000</f>
        <v>460000</v>
      </c>
      <c r="AH27" s="5">
        <f t="shared" si="14"/>
        <v>331200</v>
      </c>
      <c r="AI27" s="5">
        <f t="shared" si="15"/>
        <v>42450</v>
      </c>
      <c r="AK27" s="4">
        <f t="shared" si="16"/>
        <v>0.65</v>
      </c>
      <c r="AL27" s="4">
        <f t="shared" si="17"/>
        <v>0.72</v>
      </c>
      <c r="AN27" s="8">
        <f>0.066*AC27</f>
        <v>34650</v>
      </c>
      <c r="AO27" s="4">
        <f t="shared" si="18"/>
        <v>0.066</v>
      </c>
      <c r="AP27" s="9">
        <f t="shared" si="19"/>
        <v>0.06</v>
      </c>
    </row>
    <row r="28" spans="1:42" ht="12.75">
      <c r="A28" t="s">
        <v>53</v>
      </c>
      <c r="C28" t="s">
        <v>0</v>
      </c>
      <c r="D28" s="4"/>
      <c r="E28" s="1">
        <f>SUM(E16:E27)</f>
        <v>618500</v>
      </c>
      <c r="F28" s="1">
        <f aca="true" t="shared" si="22" ref="F28:N28">SUM(F16:F27)</f>
        <v>-320000</v>
      </c>
      <c r="G28" s="1">
        <f t="shared" si="22"/>
        <v>-96000</v>
      </c>
      <c r="H28" s="1">
        <f t="shared" si="22"/>
        <v>-40000</v>
      </c>
      <c r="I28" s="1">
        <f t="shared" si="22"/>
        <v>22000</v>
      </c>
      <c r="J28" s="1">
        <f t="shared" si="22"/>
        <v>40000</v>
      </c>
      <c r="K28" s="1">
        <f t="shared" si="22"/>
        <v>-123000</v>
      </c>
      <c r="L28" s="1">
        <f t="shared" si="22"/>
        <v>0</v>
      </c>
      <c r="M28" s="1">
        <f t="shared" si="22"/>
        <v>303000</v>
      </c>
      <c r="N28" s="1">
        <f t="shared" si="22"/>
        <v>300000</v>
      </c>
      <c r="O28" s="1">
        <f>+O27+5000</f>
        <v>29000</v>
      </c>
      <c r="P28" s="1">
        <f>+P27</f>
        <v>1458.3333333333333</v>
      </c>
      <c r="Q28" s="1">
        <f>+O28/P28</f>
        <v>19.885714285714286</v>
      </c>
      <c r="R28" s="1">
        <f>+R27</f>
        <v>15</v>
      </c>
      <c r="S28" s="1">
        <f>+S27-5000</f>
        <v>20000</v>
      </c>
      <c r="T28" s="1">
        <f>+T27</f>
        <v>510.4166666666667</v>
      </c>
      <c r="U28" s="1">
        <f>+S28/T28</f>
        <v>39.183673469387756</v>
      </c>
      <c r="V28" s="1">
        <f>+V27</f>
        <v>30</v>
      </c>
      <c r="W28" s="1">
        <f>+W27-2000</f>
        <v>28000</v>
      </c>
      <c r="X28" s="1">
        <f>+X27</f>
        <v>1500</v>
      </c>
      <c r="Y28" s="1">
        <f>+W28/X28</f>
        <v>18.666666666666668</v>
      </c>
      <c r="Z28" s="1">
        <f>+Z27</f>
        <v>15</v>
      </c>
      <c r="AC28" s="1">
        <f>SUM(AC16:AC27)</f>
        <v>6185000</v>
      </c>
      <c r="AD28" s="1">
        <f>SUM(AD16:AD27)</f>
        <v>4293050</v>
      </c>
      <c r="AE28" s="1">
        <f>+E28</f>
        <v>618500</v>
      </c>
      <c r="AG28" s="1">
        <f>SUM(AG16:AG27)</f>
        <v>6250000</v>
      </c>
      <c r="AH28" s="1">
        <f>SUM(AH16:AH27)</f>
        <v>4500000</v>
      </c>
      <c r="AI28" s="1">
        <f>SUM(AI16:AI27)</f>
        <v>825450</v>
      </c>
      <c r="AK28" s="4">
        <f>+AD28/AC28</f>
        <v>0.69410670978173</v>
      </c>
      <c r="AL28" s="4">
        <f>+AL27</f>
        <v>0.72</v>
      </c>
      <c r="AN28" s="1">
        <f>SUM(AN16:AN27)</f>
        <v>381125</v>
      </c>
      <c r="AO28" s="4">
        <f>+AN28/AC28</f>
        <v>0.06162085691188359</v>
      </c>
      <c r="AP28" s="9">
        <f>+AP27</f>
        <v>0.06</v>
      </c>
    </row>
    <row r="29" spans="1:42" ht="12.75">
      <c r="A29" s="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3"/>
      <c r="U29" s="1"/>
      <c r="V29" s="1"/>
      <c r="W29" s="1"/>
      <c r="X29" s="3"/>
      <c r="Y29" s="1"/>
      <c r="Z29" s="1"/>
      <c r="AC29" s="1"/>
      <c r="AD29" s="1"/>
      <c r="AE29" s="1"/>
      <c r="AG29" s="5"/>
      <c r="AH29" s="5"/>
      <c r="AI29" s="5"/>
      <c r="AK29" s="4"/>
      <c r="AL29" s="4"/>
      <c r="AN29" s="8"/>
      <c r="AO29" s="4"/>
      <c r="AP29" s="9"/>
    </row>
    <row r="30" spans="1:42" ht="12.75">
      <c r="A30" s="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"/>
      <c r="U30" s="1"/>
      <c r="V30" s="1"/>
      <c r="W30" s="1"/>
      <c r="X30" s="3"/>
      <c r="Y30" s="1"/>
      <c r="Z30" s="1"/>
      <c r="AC30" s="1"/>
      <c r="AD30" s="1"/>
      <c r="AE30" s="1"/>
      <c r="AG30" s="5"/>
      <c r="AH30" s="5"/>
      <c r="AI30" s="5"/>
      <c r="AK30" s="4"/>
      <c r="AL30" s="4"/>
      <c r="AN30" s="8"/>
      <c r="AO30" s="4"/>
      <c r="AP30" s="9"/>
    </row>
    <row r="31" spans="1:42" ht="12.75">
      <c r="A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3"/>
      <c r="U31" s="1"/>
      <c r="V31" s="1"/>
      <c r="W31" s="1"/>
      <c r="X31" s="3"/>
      <c r="Y31" s="1"/>
      <c r="Z31" s="1"/>
      <c r="AC31" s="1"/>
      <c r="AD31" s="1"/>
      <c r="AE31" s="1"/>
      <c r="AG31" s="5"/>
      <c r="AH31" s="5"/>
      <c r="AI31" s="5"/>
      <c r="AK31" s="4"/>
      <c r="AL31" s="4"/>
      <c r="AN31" s="8"/>
      <c r="AO31" s="4"/>
      <c r="AP31" s="9"/>
    </row>
    <row r="32" ht="12.75">
      <c r="A32" s="7"/>
    </row>
    <row r="33" ht="12.75">
      <c r="A33" s="6"/>
    </row>
    <row r="34" ht="12.75">
      <c r="A34" s="7"/>
    </row>
    <row r="35" ht="12.75">
      <c r="A35" s="7"/>
    </row>
    <row r="36" ht="12.75">
      <c r="A36" s="6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7" ht="12.75">
      <c r="A47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Campbell</dc:creator>
  <cp:keywords/>
  <dc:description/>
  <cp:lastModifiedBy>Philip Campbell</cp:lastModifiedBy>
  <dcterms:created xsi:type="dcterms:W3CDTF">2006-02-11T16:28:54Z</dcterms:created>
  <dcterms:modified xsi:type="dcterms:W3CDTF">2006-02-23T17:57:24Z</dcterms:modified>
  <cp:category/>
  <cp:version/>
  <cp:contentType/>
  <cp:contentStatus/>
</cp:coreProperties>
</file>